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235" windowHeight="132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<sst xmlns="http://schemas.openxmlformats.org/spreadsheetml/2006/main" count="65" uniqueCount="49">
  <si>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Distance astéroïde 2000 QW7</t>
  </si>
  <si>
    <t>Coordonnées des étoiles de références</t>
  </si>
  <si>
    <t>alpha
(heures d'angle)</t>
  </si>
  <si>
    <t xml:space="preserve">  1 40 36,88</t>
  </si>
  <si>
    <t xml:space="preserve">  1 40 49,64</t>
  </si>
  <si>
    <t xml:space="preserve">  1 40 48,47</t>
  </si>
  <si>
    <t>-03 48 22,2</t>
  </si>
  <si>
    <t>-03 42 16,3</t>
  </si>
  <si>
    <t>-03 47 06,5</t>
  </si>
  <si>
    <t>Num
étoile</t>
  </si>
  <si>
    <t>Echelle du champ</t>
  </si>
  <si>
    <t>Position des étoiles</t>
  </si>
  <si>
    <t>RIT</t>
  </si>
  <si>
    <t>USNO</t>
  </si>
  <si>
    <t>Numéro
étoile</t>
  </si>
  <si>
    <t>Différences d'ascension droites et déclinaisons sur les deux observations</t>
  </si>
  <si>
    <r>
      <t>Da</t>
    </r>
    <r>
      <rPr>
        <b/>
        <sz val="10"/>
        <rFont val="Arial"/>
        <family val="0"/>
      </rPr>
      <t xml:space="preserve"> (°)</t>
    </r>
  </si>
  <si>
    <r>
      <t>Dd</t>
    </r>
    <r>
      <rPr>
        <b/>
        <sz val="10"/>
        <rFont val="Arial"/>
        <family val="0"/>
      </rPr>
      <t xml:space="preserve"> (°)</t>
    </r>
  </si>
  <si>
    <t>Parallaxe de l'astéroïde</t>
  </si>
  <si>
    <t>Distance des deux observatoires</t>
  </si>
  <si>
    <t>Ouest</t>
  </si>
  <si>
    <t>Nord</t>
  </si>
  <si>
    <r>
      <t xml:space="preserve">cos </t>
    </r>
    <r>
      <rPr>
        <i/>
        <sz val="10"/>
        <rFont val="Arial"/>
        <family val="2"/>
      </rPr>
      <t>d</t>
    </r>
  </si>
  <si>
    <r>
      <t xml:space="preserve">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(°)</t>
    </r>
  </si>
  <si>
    <t>RT rayon Terre (km)</t>
  </si>
  <si>
    <t>R'U'</t>
  </si>
  <si>
    <t>D (km)</t>
  </si>
  <si>
    <t>Pos. asteroïde</t>
  </si>
  <si>
    <t>Décalage</t>
  </si>
  <si>
    <t>Décalages angulaire de l'astéroïde</t>
  </si>
  <si>
    <t>Pos. étoile 1</t>
  </si>
  <si>
    <t>Pos.étoile 1</t>
  </si>
  <si>
    <r>
      <t xml:space="preserve">Da </t>
    </r>
    <r>
      <rPr>
        <b/>
        <sz val="10"/>
        <rFont val="Times New Roman"/>
        <family val="1"/>
      </rPr>
      <t>(")</t>
    </r>
  </si>
  <si>
    <r>
      <t xml:space="preserve">Dd </t>
    </r>
    <r>
      <rPr>
        <b/>
        <sz val="10"/>
        <rFont val="Times New Roman"/>
        <family val="1"/>
      </rPr>
      <t>(")</t>
    </r>
  </si>
  <si>
    <r>
      <t>D</t>
    </r>
    <r>
      <rPr>
        <b/>
        <sz val="10"/>
        <rFont val="Times New Roman"/>
        <family val="1"/>
      </rPr>
      <t>x (pixels)</t>
    </r>
  </si>
  <si>
    <r>
      <t>D</t>
    </r>
    <r>
      <rPr>
        <b/>
        <sz val="10"/>
        <rFont val="Times New Roman"/>
        <family val="1"/>
      </rPr>
      <t>y (pixels)</t>
    </r>
  </si>
  <si>
    <t>y (pixels)</t>
  </si>
  <si>
    <t>x (pixels)</t>
  </si>
  <si>
    <t>alpha (°)</t>
  </si>
  <si>
    <t>delta (°)</t>
  </si>
  <si>
    <t>échelle
"/pixel</t>
  </si>
  <si>
    <t>Parallaxe équatoriale à l'observation</t>
  </si>
  <si>
    <t>min d'arc</t>
  </si>
  <si>
    <r>
      <t>p</t>
    </r>
    <r>
      <rPr>
        <sz val="10"/>
        <rFont val="Arial"/>
        <family val="0"/>
      </rPr>
      <t>'=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(")=</t>
    </r>
  </si>
  <si>
    <t>delta
(° décimaux)</t>
  </si>
  <si>
    <t>alpha
(° décimaux)</t>
  </si>
  <si>
    <t>delta
(°)</t>
  </si>
  <si>
    <t>Distance angulaire de visée entre les deux observatoires =</t>
  </si>
  <si>
    <r>
      <t>distance RU = 2 R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.sin 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</si>
</sst>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"/>
    <numFmt numFmtId="166" formatCode="0.0000"/>
    <numFmt numFmtId="167" formatCode="0.00000"/>
    <numFmt numFmtId="168" formatCode="0.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0"/>
      <name val="Times New Roman"/>
      <family val="1"/>
    </font>
    <font>
      <i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164" fontId="0" fillId="0" borderId="7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2" borderId="4" xfId="0" applyNumberFormat="1" applyFill="1" applyBorder="1" applyAlignment="1">
      <alignment/>
    </xf>
    <xf numFmtId="165" fontId="0" fillId="2" borderId="7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4" fontId="0" fillId="3" borderId="4" xfId="0" applyNumberFormat="1" applyFill="1" applyBorder="1" applyAlignment="1">
      <alignment/>
    </xf>
    <xf numFmtId="164" fontId="0" fillId="3" borderId="6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8" xfId="0" applyFont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4" fontId="0" fillId="4" borderId="6" xfId="0" applyNumberFormat="1" applyFill="1" applyBorder="1" applyAlignment="1">
      <alignment vertical="center"/>
    </xf>
    <xf numFmtId="165" fontId="0" fillId="4" borderId="6" xfId="0" applyNumberForma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4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6" xfId="0" applyNumberFormat="1" applyBorder="1" applyAlignment="1">
      <alignment horizontal="right"/>
    </xf>
    <xf numFmtId="2" fontId="0" fillId="0" borderId="6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1" fontId="0" fillId="0" borderId="22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7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6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2" fontId="0" fillId="0" borderId="27" xfId="0" applyNumberFormat="1" applyBorder="1" applyAlignment="1">
      <alignment vertical="center"/>
    </xf>
    <xf numFmtId="2" fontId="0" fillId="0" borderId="2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6" xfId="0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30</xdr:row>
      <xdr:rowOff>28575</xdr:rowOff>
    </xdr:from>
    <xdr:to>
      <xdr:col>3</xdr:col>
      <xdr:colOff>704850</xdr:colOff>
      <xdr:row>31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53100"/>
          <a:ext cx="14763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="90" zoomScaleNormal="90" workbookViewId="0" topLeftCell="A10">
      <selection activeCell="H39" sqref="H39"/>
    </sheetView>
  </sheetViews>
  <sheetFormatPr defaultColWidth="11.421875" defaultRowHeight="12.75"/>
  <cols>
    <col min="1" max="1" width="3.28125" style="0" customWidth="1"/>
    <col min="2" max="2" width="9.57421875" style="0" customWidth="1"/>
    <col min="3" max="3" width="14.7109375" style="0" customWidth="1"/>
    <col min="4" max="4" width="12.7109375" style="0" customWidth="1"/>
    <col min="5" max="5" width="15.421875" style="0" customWidth="1"/>
    <col min="7" max="7" width="9.57421875" style="0" customWidth="1"/>
    <col min="8" max="8" width="10.00390625" style="0" customWidth="1"/>
    <col min="9" max="9" width="7.7109375" style="0" customWidth="1"/>
  </cols>
  <sheetData>
    <row r="1" ht="18">
      <c r="C1" s="1" t="s">
        <v>0</v>
      </c>
    </row>
    <row r="3" ht="15.75">
      <c r="C3" s="2" t="s">
        <v>1</v>
      </c>
    </row>
    <row r="4" ht="13.5" thickBot="1"/>
    <row r="5" spans="2:6" ht="38.25">
      <c r="B5" s="29" t="s">
        <v>9</v>
      </c>
      <c r="C5" s="30" t="s">
        <v>2</v>
      </c>
      <c r="D5" s="30" t="s">
        <v>46</v>
      </c>
      <c r="E5" s="30" t="s">
        <v>45</v>
      </c>
      <c r="F5" s="31" t="s">
        <v>44</v>
      </c>
    </row>
    <row r="6" spans="2:6" ht="12.75">
      <c r="B6" s="7">
        <v>3</v>
      </c>
      <c r="C6" s="26" t="s">
        <v>3</v>
      </c>
      <c r="D6" s="59" t="s">
        <v>6</v>
      </c>
      <c r="E6" s="8">
        <f>15*(VALUE(LEFT(C6,3))+VALUE(MID(C6,5,2))/60+VALUE(RIGHT(C6,5))/3600)</f>
        <v>25.153666666666666</v>
      </c>
      <c r="F6" s="32">
        <f>(VALUE(LEFT(D6,3))+SIGN(VALUE(LEFT(D6,3)))*VALUE(MID(D6,5,2))/60+SIGN(VALUE(LEFT(D6,3)))*VALUE(RIGHT(D6,4))/3600)</f>
        <v>-3.8061666666666665</v>
      </c>
    </row>
    <row r="7" spans="2:6" ht="12.75">
      <c r="B7" s="7">
        <v>9</v>
      </c>
      <c r="C7" s="26" t="s">
        <v>4</v>
      </c>
      <c r="D7" s="59" t="s">
        <v>7</v>
      </c>
      <c r="E7" s="8">
        <f>15*(VALUE(LEFT(C7,3))+VALUE(MID(C7,5,2))/60+VALUE(RIGHT(C7,5))/3600)</f>
        <v>25.206833333333332</v>
      </c>
      <c r="F7" s="32">
        <f>(VALUE(LEFT(D7,3))+SIGN(VALUE(LEFT(D7,3)))*VALUE(MID(D7,5,2))/60+SIGN(VALUE(LEFT(D7,3)))*VALUE(RIGHT(D7,4))/3600)</f>
        <v>-3.704527777777778</v>
      </c>
    </row>
    <row r="8" spans="2:6" ht="13.5" thickBot="1">
      <c r="B8" s="9">
        <v>1</v>
      </c>
      <c r="C8" s="60" t="s">
        <v>5</v>
      </c>
      <c r="D8" s="61" t="s">
        <v>8</v>
      </c>
      <c r="E8" s="10">
        <f>15*(VALUE(LEFT(C8,3))+VALUE(MID(C8,5,2))/60+VALUE(RIGHT(C8,5))/3600)</f>
        <v>25.20195833333333</v>
      </c>
      <c r="F8" s="33">
        <f>(VALUE(LEFT(D8,3))+SIGN(VALUE(LEFT(D8,3)))*VALUE(MID(D8,5,2))/60+SIGN(VALUE(LEFT(D8,3)))*VALUE(RIGHT(D8,4))/3600)</f>
        <v>-3.7851388888888886</v>
      </c>
    </row>
    <row r="10" ht="15.75">
      <c r="B10" s="2" t="s">
        <v>10</v>
      </c>
    </row>
    <row r="11" ht="15.75" thickBot="1">
      <c r="C11" s="3" t="s">
        <v>11</v>
      </c>
    </row>
    <row r="12" spans="2:8" ht="12.75">
      <c r="B12" s="86" t="s">
        <v>14</v>
      </c>
      <c r="C12" s="83" t="s">
        <v>38</v>
      </c>
      <c r="D12" s="85" t="s">
        <v>39</v>
      </c>
      <c r="E12" s="81" t="s">
        <v>12</v>
      </c>
      <c r="F12" s="81"/>
      <c r="G12" s="81" t="s">
        <v>13</v>
      </c>
      <c r="H12" s="82"/>
    </row>
    <row r="13" spans="2:8" ht="12.75">
      <c r="B13" s="87"/>
      <c r="C13" s="84"/>
      <c r="D13" s="84"/>
      <c r="E13" s="12" t="s">
        <v>37</v>
      </c>
      <c r="F13" s="12" t="s">
        <v>36</v>
      </c>
      <c r="G13" s="12" t="s">
        <v>37</v>
      </c>
      <c r="H13" s="13" t="s">
        <v>36</v>
      </c>
    </row>
    <row r="14" spans="2:8" ht="12.75">
      <c r="B14" s="7">
        <v>3</v>
      </c>
      <c r="C14" s="67">
        <f>E6</f>
        <v>25.153666666666666</v>
      </c>
      <c r="D14" s="67">
        <f>F6</f>
        <v>-3.8061666666666665</v>
      </c>
      <c r="E14" s="34">
        <v>219.5</v>
      </c>
      <c r="F14" s="34">
        <v>8.5</v>
      </c>
      <c r="G14" s="34">
        <v>216.5</v>
      </c>
      <c r="H14" s="35">
        <v>5.5</v>
      </c>
    </row>
    <row r="15" spans="2:8" ht="13.5" thickBot="1">
      <c r="B15" s="9">
        <v>9</v>
      </c>
      <c r="C15" s="68">
        <f>E7</f>
        <v>25.206833333333332</v>
      </c>
      <c r="D15" s="68">
        <f>F7</f>
        <v>-3.704527777777778</v>
      </c>
      <c r="E15" s="36">
        <v>47.5</v>
      </c>
      <c r="F15" s="36">
        <v>338.5</v>
      </c>
      <c r="G15" s="36">
        <v>46.7</v>
      </c>
      <c r="H15" s="37">
        <v>334.2</v>
      </c>
    </row>
    <row r="17" ht="15.75" thickBot="1">
      <c r="C17" s="3" t="s">
        <v>15</v>
      </c>
    </row>
    <row r="18" spans="2:8" ht="25.5">
      <c r="B18" s="14"/>
      <c r="C18" s="15" t="s">
        <v>16</v>
      </c>
      <c r="D18" s="15" t="s">
        <v>17</v>
      </c>
      <c r="E18" s="15" t="s">
        <v>34</v>
      </c>
      <c r="F18" s="15" t="s">
        <v>35</v>
      </c>
      <c r="G18" s="16" t="s">
        <v>40</v>
      </c>
      <c r="H18" s="17" t="s">
        <v>40</v>
      </c>
    </row>
    <row r="19" spans="2:8" ht="12.75">
      <c r="B19" s="18" t="s">
        <v>12</v>
      </c>
      <c r="C19" s="38">
        <f>C14-C15</f>
        <v>-0.05316666666666592</v>
      </c>
      <c r="D19" s="38">
        <f>D14-D15</f>
        <v>-0.10163888888888861</v>
      </c>
      <c r="E19" s="40">
        <f>E14-E15</f>
        <v>172</v>
      </c>
      <c r="F19" s="40">
        <f>F14-F15</f>
        <v>-330</v>
      </c>
      <c r="G19" s="65">
        <f>C19/E19*3600</f>
        <v>-1.1127906976744029</v>
      </c>
      <c r="H19" s="66">
        <f>D19/F19*3600</f>
        <v>1.1087878787878758</v>
      </c>
    </row>
    <row r="20" spans="2:8" ht="13.5" thickBot="1">
      <c r="B20" s="19" t="s">
        <v>13</v>
      </c>
      <c r="C20" s="39">
        <f>C14-C15</f>
        <v>-0.05316666666666592</v>
      </c>
      <c r="D20" s="39">
        <f>D14-D15</f>
        <v>-0.10163888888888861</v>
      </c>
      <c r="E20" s="41">
        <f>G14-G15</f>
        <v>169.8</v>
      </c>
      <c r="F20" s="41">
        <f>H14-H15</f>
        <v>-328.7</v>
      </c>
      <c r="G20" s="65">
        <f>C20/E20*3600</f>
        <v>-1.127208480565355</v>
      </c>
      <c r="H20" s="66">
        <f>D20/F20*3600</f>
        <v>1.1131731061758412</v>
      </c>
    </row>
    <row r="21" spans="2:8" ht="12.75">
      <c r="B21" s="42"/>
      <c r="C21" s="45"/>
      <c r="D21" s="45"/>
      <c r="E21" s="43"/>
      <c r="F21" s="43"/>
      <c r="G21" s="44"/>
      <c r="H21" s="44"/>
    </row>
    <row r="22" spans="2:8" ht="15.75" thickBot="1">
      <c r="B22" s="42"/>
      <c r="C22" s="3" t="s">
        <v>29</v>
      </c>
      <c r="H22" s="44"/>
    </row>
    <row r="23" spans="2:9" ht="12.75">
      <c r="B23" s="52"/>
      <c r="C23" s="5"/>
      <c r="D23" s="11" t="s">
        <v>37</v>
      </c>
      <c r="E23" s="11" t="s">
        <v>36</v>
      </c>
      <c r="F23" s="15" t="s">
        <v>34</v>
      </c>
      <c r="G23" s="15" t="s">
        <v>35</v>
      </c>
      <c r="H23" s="15" t="s">
        <v>32</v>
      </c>
      <c r="I23" s="46" t="s">
        <v>33</v>
      </c>
    </row>
    <row r="24" spans="2:9" ht="13.5" thickBot="1">
      <c r="B24" s="98" t="s">
        <v>12</v>
      </c>
      <c r="C24" s="47" t="s">
        <v>30</v>
      </c>
      <c r="D24" s="36">
        <v>62.2</v>
      </c>
      <c r="E24" s="36">
        <v>77.3</v>
      </c>
      <c r="F24" s="103">
        <f>D25-D24</f>
        <v>128.2</v>
      </c>
      <c r="G24" s="103">
        <f>E25-E24</f>
        <v>106.50000000000001</v>
      </c>
      <c r="H24" s="101">
        <f>F24*G19</f>
        <v>-142.65976744185843</v>
      </c>
      <c r="I24" s="102">
        <f>G24*H19</f>
        <v>118.08590909090879</v>
      </c>
    </row>
    <row r="25" spans="2:9" ht="13.5" thickBot="1">
      <c r="B25" s="99"/>
      <c r="C25" s="47" t="s">
        <v>27</v>
      </c>
      <c r="D25" s="36">
        <v>190.4</v>
      </c>
      <c r="E25" s="36">
        <v>183.8</v>
      </c>
      <c r="F25" s="103"/>
      <c r="G25" s="103"/>
      <c r="H25" s="101"/>
      <c r="I25" s="102"/>
    </row>
    <row r="26" spans="2:9" ht="13.5" thickBot="1">
      <c r="B26" s="98" t="s">
        <v>13</v>
      </c>
      <c r="C26" s="47" t="s">
        <v>31</v>
      </c>
      <c r="D26" s="36">
        <v>62.2</v>
      </c>
      <c r="E26" s="36">
        <v>77.3</v>
      </c>
      <c r="F26" s="103">
        <f>D27-D26</f>
        <v>119.3</v>
      </c>
      <c r="G26" s="103">
        <f>E27-E26</f>
        <v>122.2</v>
      </c>
      <c r="H26" s="101">
        <f>F26*G20</f>
        <v>-134.47597173144686</v>
      </c>
      <c r="I26" s="102">
        <f>G26*H20</f>
        <v>136.0297535746878</v>
      </c>
    </row>
    <row r="27" spans="2:9" ht="13.5" thickBot="1">
      <c r="B27" s="100"/>
      <c r="C27" s="47" t="s">
        <v>27</v>
      </c>
      <c r="D27" s="36">
        <v>181.5</v>
      </c>
      <c r="E27" s="36">
        <v>199.5</v>
      </c>
      <c r="F27" s="103"/>
      <c r="G27" s="103"/>
      <c r="H27" s="101"/>
      <c r="I27" s="102"/>
    </row>
    <row r="28" spans="2:9" ht="13.5" thickBot="1">
      <c r="B28" s="48"/>
      <c r="C28" s="49" t="s">
        <v>28</v>
      </c>
      <c r="D28" s="50"/>
      <c r="E28" s="51"/>
      <c r="F28" s="51"/>
      <c r="G28" s="51"/>
      <c r="H28" s="62">
        <f>H26-H24</f>
        <v>8.183795710411573</v>
      </c>
      <c r="I28" s="63">
        <f>I26-I24</f>
        <v>17.943844483779003</v>
      </c>
    </row>
    <row r="30" spans="2:7" ht="15.75" thickBot="1">
      <c r="B30" s="3" t="s">
        <v>47</v>
      </c>
      <c r="G30" s="56" t="s">
        <v>18</v>
      </c>
    </row>
    <row r="31" spans="2:5" ht="12.75">
      <c r="B31" s="107" t="s">
        <v>43</v>
      </c>
      <c r="C31" s="69"/>
      <c r="D31" s="70"/>
      <c r="E31" s="88">
        <f>SQRT((H28*COS(RADIANS(D14)))^2+I28^2)</f>
        <v>19.714485677076237</v>
      </c>
    </row>
    <row r="32" spans="2:5" ht="13.5" thickBot="1">
      <c r="B32" s="108"/>
      <c r="C32" s="71"/>
      <c r="D32" s="72"/>
      <c r="E32" s="89"/>
    </row>
    <row r="33" spans="3:4" ht="12.75">
      <c r="C33" s="55"/>
      <c r="D33" s="55"/>
    </row>
    <row r="34" ht="16.5" thickBot="1">
      <c r="C34" s="2" t="s">
        <v>19</v>
      </c>
    </row>
    <row r="35" spans="2:6" ht="12.75">
      <c r="B35" s="20" t="s">
        <v>12</v>
      </c>
      <c r="C35" s="53">
        <v>77.6644</v>
      </c>
      <c r="D35" s="21" t="s">
        <v>20</v>
      </c>
      <c r="E35" s="53">
        <v>43.0747</v>
      </c>
      <c r="F35" s="22" t="s">
        <v>21</v>
      </c>
    </row>
    <row r="36" spans="2:6" ht="13.5" thickBot="1">
      <c r="B36" s="23" t="s">
        <v>13</v>
      </c>
      <c r="C36" s="54">
        <v>76.49</v>
      </c>
      <c r="D36" s="24" t="s">
        <v>20</v>
      </c>
      <c r="E36" s="54">
        <v>38.9814</v>
      </c>
      <c r="F36" s="25" t="s">
        <v>21</v>
      </c>
    </row>
    <row r="37" ht="13.5" thickBot="1"/>
    <row r="38" spans="2:6" ht="12.75">
      <c r="B38" s="77" t="s">
        <v>22</v>
      </c>
      <c r="C38" s="78">
        <f>SIN(RADIANS(E35))*SIN(RADIANS(E36))+COS(RADIANS(E35))*COS(RADIANS(E36))*COS(RADIANS(C35-C36))</f>
        <v>0.9973298597010933</v>
      </c>
      <c r="E38" s="57"/>
      <c r="F38" s="109">
        <f>(E35-E36)/2</f>
        <v>2.0466499999999996</v>
      </c>
    </row>
    <row r="39" spans="2:6" ht="13.5" thickBot="1">
      <c r="B39" s="79" t="s">
        <v>23</v>
      </c>
      <c r="C39" s="80">
        <f>DEGREES(ACOS(C38))</f>
        <v>4.187948706685788</v>
      </c>
      <c r="E39" s="58"/>
      <c r="F39" s="110"/>
    </row>
    <row r="40" ht="13.5" thickBot="1"/>
    <row r="41" spans="3:5" ht="12.75">
      <c r="C41" s="27"/>
      <c r="D41" s="74" t="s">
        <v>24</v>
      </c>
      <c r="E41" s="75">
        <v>6348</v>
      </c>
    </row>
    <row r="42" spans="3:5" ht="16.5" thickBot="1">
      <c r="C42" s="23"/>
      <c r="D42" s="76" t="s">
        <v>48</v>
      </c>
      <c r="E42" s="63">
        <f>2*SIN(RADIANS(C39/2))*E41</f>
        <v>463.8942149232581</v>
      </c>
    </row>
    <row r="43" ht="13.5" thickBot="1"/>
    <row r="44" spans="3:8" ht="12.75">
      <c r="C44" s="4"/>
      <c r="D44" s="90">
        <f>(E35+E36)/2-D14</f>
        <v>44.83421666666667</v>
      </c>
      <c r="H44" s="73"/>
    </row>
    <row r="45" spans="3:4" ht="13.5" thickBot="1">
      <c r="C45" s="6"/>
      <c r="D45" s="91"/>
    </row>
    <row r="46" spans="3:4" ht="13.5" thickBot="1">
      <c r="C46" s="28" t="s">
        <v>25</v>
      </c>
      <c r="D46" s="64">
        <f>E42*COS(RADIANS(D44))</f>
        <v>328.9704930119332</v>
      </c>
    </row>
    <row r="47" spans="3:4" ht="13.5" thickBot="1">
      <c r="C47" s="28" t="s">
        <v>26</v>
      </c>
      <c r="D47" s="64">
        <f>D46/TAN(RADIANS(E31/3600))</f>
        <v>3441887.1436445755</v>
      </c>
    </row>
    <row r="48" spans="3:4" ht="12.75">
      <c r="C48" s="44"/>
      <c r="D48" s="44"/>
    </row>
    <row r="49" spans="3:4" ht="16.5" thickBot="1">
      <c r="C49" s="2" t="s">
        <v>41</v>
      </c>
      <c r="D49" s="44"/>
    </row>
    <row r="50" spans="3:5" ht="13.5" thickTop="1">
      <c r="C50" s="92"/>
      <c r="D50" s="95">
        <f>E31*E41/D46/60</f>
        <v>6.340363737604288</v>
      </c>
      <c r="E50" s="104" t="s">
        <v>42</v>
      </c>
    </row>
    <row r="51" spans="3:5" ht="12.75">
      <c r="C51" s="93"/>
      <c r="D51" s="96"/>
      <c r="E51" s="105"/>
    </row>
    <row r="52" spans="3:5" ht="13.5" thickBot="1">
      <c r="C52" s="94"/>
      <c r="D52" s="97"/>
      <c r="E52" s="106"/>
    </row>
    <row r="53" ht="13.5" thickTop="1"/>
  </sheetData>
  <mergeCells count="22">
    <mergeCell ref="B31:B32"/>
    <mergeCell ref="F26:F27"/>
    <mergeCell ref="G26:G27"/>
    <mergeCell ref="F38:F39"/>
    <mergeCell ref="I26:I27"/>
    <mergeCell ref="F24:F25"/>
    <mergeCell ref="G24:G25"/>
    <mergeCell ref="H24:H25"/>
    <mergeCell ref="I24:I25"/>
    <mergeCell ref="B24:B25"/>
    <mergeCell ref="B26:B27"/>
    <mergeCell ref="E12:F12"/>
    <mergeCell ref="H26:H27"/>
    <mergeCell ref="E31:E32"/>
    <mergeCell ref="D44:D45"/>
    <mergeCell ref="C50:C52"/>
    <mergeCell ref="D50:D52"/>
    <mergeCell ref="E50:E52"/>
    <mergeCell ref="G12:H12"/>
    <mergeCell ref="C12:C13"/>
    <mergeCell ref="D12:D13"/>
    <mergeCell ref="B12:B13"/>
  </mergeCells>
  <printOptions/>
  <pageMargins left="0.53" right="0.51" top="0.51" bottom="0.49" header="0.4921259845" footer="0.4921259845"/>
  <pageSetup horizontalDpi="1200" verticalDpi="1200" orientation="portrait" paperSize="9" r:id="rId6"/>
  <drawing r:id="rId5"/>
  <legacyDrawing r:id="rId4"/>
  <oleObjects>
    <oleObject progId="Equation.COEE2" shapeId="18621591" r:id="rId1"/>
    <oleObject progId="Equation.COEE2" shapeId="18632422" r:id="rId2"/>
    <oleObject progId="Equation.COEE2" shapeId="1932631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 sdc</cp:lastModifiedBy>
  <cp:lastPrinted>2005-01-23T08:25:17Z</cp:lastPrinted>
  <dcterms:created xsi:type="dcterms:W3CDTF">2005-01-22T16:41:40Z</dcterms:created>
  <dcterms:modified xsi:type="dcterms:W3CDTF">2005-02-01T20:36:11Z</dcterms:modified>
  <cp:category/>
  <cp:version/>
  <cp:contentType/>
  <cp:contentStatus/>
</cp:coreProperties>
</file>